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455" windowWidth="12900" windowHeight="6345"/>
  </bookViews>
  <sheets>
    <sheet name="2021 SF Standings" sheetId="1" r:id="rId1"/>
  </sheets>
  <definedNames>
    <definedName name="ASTAB" localSheetId="0">'2021 SF Standings'!$A$1:$K$26</definedName>
    <definedName name="ASTAB_1" localSheetId="0">'2021 SF Standings'!#REF!</definedName>
    <definedName name="ASTAB_2" localSheetId="0">'2021 SF Standings'!#REF!</definedName>
    <definedName name="ASTAB_3" localSheetId="0">'2021 SF Standings'!#REF!</definedName>
    <definedName name="OFLSTAND" localSheetId="0">'2021 SF Standings'!#REF!</definedName>
    <definedName name="STAN0118" localSheetId="0">'2021 SF Standings'!#REF!</definedName>
    <definedName name="Standing" localSheetId="0">'2021 SF Standings'!#REF!</definedName>
    <definedName name="STANDING_1" localSheetId="0">'2021 SF Standings'!#REF!</definedName>
    <definedName name="STANDING_2" localSheetId="0">'2021 SF Standings'!#REF!</definedName>
    <definedName name="STANDINGS" localSheetId="0">'2021 SF Standings'!#REF!</definedName>
  </definedNames>
  <calcPr calcId="145621" calcOnSave="0"/>
</workbook>
</file>

<file path=xl/calcChain.xml><?xml version="1.0" encoding="utf-8"?>
<calcChain xmlns="http://schemas.openxmlformats.org/spreadsheetml/2006/main">
  <c r="I21" i="1" l="1"/>
  <c r="G21" i="1"/>
  <c r="I18" i="1"/>
  <c r="G18" i="1"/>
  <c r="I39" i="1"/>
  <c r="G39" i="1"/>
  <c r="I41" i="1"/>
  <c r="G41" i="1"/>
  <c r="I20" i="1"/>
  <c r="G20" i="1"/>
  <c r="I48" i="1"/>
  <c r="G48" i="1"/>
  <c r="I47" i="1"/>
  <c r="G47" i="1"/>
  <c r="I38" i="1" l="1"/>
  <c r="G38" i="1"/>
  <c r="I30" i="1"/>
  <c r="G30" i="1"/>
  <c r="I49" i="1"/>
  <c r="G49" i="1"/>
  <c r="I57" i="1"/>
  <c r="G57" i="1"/>
  <c r="I58" i="1"/>
  <c r="G58" i="1"/>
  <c r="I40" i="1"/>
  <c r="G40" i="1"/>
  <c r="I19" i="1"/>
  <c r="G19" i="1"/>
  <c r="I27" i="1" l="1"/>
  <c r="G27" i="1"/>
  <c r="I9" i="1" l="1"/>
  <c r="G9" i="1"/>
  <c r="I12" i="1"/>
  <c r="G12" i="1"/>
  <c r="I56" i="1"/>
  <c r="G56" i="1"/>
  <c r="I28" i="1" l="1"/>
  <c r="G28" i="1"/>
  <c r="I59" i="1"/>
  <c r="G59" i="1"/>
  <c r="I10" i="1" l="1"/>
  <c r="G10" i="1"/>
  <c r="I11" i="1" l="1"/>
  <c r="G11" i="1"/>
  <c r="I50" i="1" l="1"/>
  <c r="G50" i="1"/>
  <c r="I29" i="1" l="1"/>
  <c r="G29" i="1"/>
  <c r="J21" i="1" l="1"/>
  <c r="H21" i="1"/>
  <c r="K21" i="1" s="1"/>
  <c r="E21" i="1"/>
  <c r="J19" i="1"/>
  <c r="H19" i="1"/>
  <c r="E19" i="1"/>
  <c r="K19" i="1" l="1"/>
  <c r="J12" i="1"/>
  <c r="H12" i="1"/>
  <c r="K12" i="1" s="1"/>
  <c r="E12" i="1"/>
  <c r="J9" i="1"/>
  <c r="H9" i="1"/>
  <c r="E9" i="1"/>
  <c r="K9" i="1" l="1"/>
  <c r="J10" i="1" l="1"/>
  <c r="H10" i="1"/>
  <c r="E10" i="1"/>
  <c r="K10" i="1" l="1"/>
  <c r="J11" i="1"/>
  <c r="H11" i="1"/>
  <c r="E11" i="1"/>
  <c r="K11" i="1" l="1"/>
  <c r="J41" i="1"/>
  <c r="H41" i="1"/>
  <c r="K41" i="1" s="1"/>
  <c r="E41" i="1"/>
  <c r="J40" i="1"/>
  <c r="H40" i="1"/>
  <c r="E40" i="1"/>
  <c r="J20" i="1"/>
  <c r="H20" i="1"/>
  <c r="E20" i="1"/>
  <c r="J18" i="1"/>
  <c r="H18" i="1"/>
  <c r="E18" i="1"/>
  <c r="K40" i="1" l="1"/>
  <c r="K20" i="1"/>
  <c r="K18" i="1"/>
  <c r="J38" i="1"/>
  <c r="H38" i="1"/>
  <c r="K38" i="1" s="1"/>
  <c r="E38" i="1"/>
  <c r="J39" i="1"/>
  <c r="H39" i="1"/>
  <c r="E39" i="1"/>
  <c r="K39" i="1" l="1"/>
  <c r="J47" i="1" l="1"/>
  <c r="H47" i="1"/>
  <c r="E47" i="1"/>
  <c r="J48" i="1"/>
  <c r="H48" i="1"/>
  <c r="E48" i="1"/>
  <c r="K47" i="1" l="1"/>
  <c r="K48" i="1"/>
  <c r="J59" i="1" l="1"/>
  <c r="H59" i="1"/>
  <c r="E59" i="1"/>
  <c r="J58" i="1"/>
  <c r="H58" i="1"/>
  <c r="E58" i="1"/>
  <c r="K59" i="1" l="1"/>
  <c r="K58" i="1"/>
  <c r="I61" i="1" l="1"/>
  <c r="G61" i="1"/>
  <c r="D61" i="1"/>
  <c r="C61" i="1"/>
  <c r="B61" i="1"/>
  <c r="J57" i="1" l="1"/>
  <c r="H57" i="1"/>
  <c r="E57" i="1"/>
  <c r="K57" i="1" l="1"/>
  <c r="J28" i="1" l="1"/>
  <c r="H28" i="1"/>
  <c r="H30" i="1"/>
  <c r="J30" i="1"/>
  <c r="E30" i="1"/>
  <c r="E28" i="1"/>
  <c r="K30" i="1" l="1"/>
  <c r="K28" i="1"/>
  <c r="J56" i="1"/>
  <c r="H56" i="1"/>
  <c r="E56" i="1"/>
  <c r="K56" i="1" l="1"/>
  <c r="J50" i="1" l="1"/>
  <c r="H50" i="1"/>
  <c r="E50" i="1"/>
  <c r="K50" i="1" l="1"/>
  <c r="J49" i="1" l="1"/>
  <c r="H49" i="1"/>
  <c r="E49" i="1"/>
  <c r="K49" i="1" l="1"/>
  <c r="E27" i="1" l="1"/>
  <c r="E29" i="1"/>
  <c r="J29" i="1" l="1"/>
  <c r="H29" i="1"/>
  <c r="K29" i="1" l="1"/>
  <c r="H27" i="1" l="1"/>
  <c r="J27" i="1"/>
  <c r="K27" i="1" l="1"/>
  <c r="E61" i="1"/>
  <c r="J61" i="1"/>
  <c r="H61" i="1"/>
  <c r="K61" i="1" l="1"/>
</calcChain>
</file>

<file path=xl/connections.xml><?xml version="1.0" encoding="utf-8"?>
<connections xmlns="http://schemas.openxmlformats.org/spreadsheetml/2006/main">
  <connection id="1" name="ASTAB" type="6" refreshedVersion="0" deleted="1" background="1" saveData="1">
    <textPr sourceFile="C:\Transfer\ASTAB.TXT" qualifier="none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<sst xmlns="http://schemas.openxmlformats.org/spreadsheetml/2006/main" count="166" uniqueCount="71">
  <si>
    <t>Reilly Conference</t>
  </si>
  <si>
    <t>Davis Division</t>
  </si>
  <si>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</si>
  <si>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</si>
  <si>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</si>
  <si>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</si>
  <si>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</si>
  <si>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</si>
  <si>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</si>
  <si>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</si>
  <si>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</si>
  <si>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</si>
  <si>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</si>
  <si>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</si>
  <si>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---</t>
  </si>
  <si>
    <t>Byrens Division</t>
  </si>
  <si>
    <t>Ramos Division</t>
  </si>
  <si>
    <t>Mankiewicz Conference</t>
  </si>
  <si>
    <t>Nagata Division</t>
  </si>
  <si>
    <t>Siemienski Division</t>
  </si>
  <si>
    <t>Totals</t>
  </si>
  <si>
    <t>Canadian Division</t>
  </si>
  <si>
    <t>New Orleans SAINTS</t>
  </si>
  <si>
    <t>Shreveport STEAMER</t>
  </si>
  <si>
    <t>Green Bay PACKERS</t>
  </si>
  <si>
    <t>Chicago BLITZ</t>
  </si>
  <si>
    <t>Jacksonville JAGUARS</t>
  </si>
  <si>
    <t>Birmingham AMERICANS</t>
  </si>
  <si>
    <t>Oakland RAIDERS</t>
  </si>
  <si>
    <t>Missouri TIGERS</t>
  </si>
  <si>
    <t>New Orleans VOODOO</t>
  </si>
  <si>
    <t>Michigan PANTHERS</t>
  </si>
  <si>
    <t>Phoenix CARDINALS</t>
  </si>
  <si>
    <t>Seattle SEAHAWKS</t>
  </si>
  <si>
    <t>Philadelphia EAGLES</t>
  </si>
  <si>
    <t>Detroit LIONS</t>
  </si>
  <si>
    <t>California GOLDEN BEARS</t>
  </si>
  <si>
    <t>Buffalo BILLS</t>
  </si>
  <si>
    <t>Cleveland BROWNS</t>
  </si>
  <si>
    <t>Los Angeles RAMS</t>
  </si>
  <si>
    <t>Peoria PIRATES</t>
  </si>
  <si>
    <t>Southern California SUN</t>
  </si>
  <si>
    <t>Los Angeles CHARGERS</t>
  </si>
  <si>
    <t>Texas Tech RED RAIDERS</t>
  </si>
  <si>
    <t>Playoffs Status</t>
  </si>
  <si>
    <t>Dallas COWBOYS</t>
  </si>
  <si>
    <t>Los Angeles DONS</t>
  </si>
  <si>
    <t>Eliminated</t>
  </si>
  <si>
    <t>5</t>
  </si>
  <si>
    <t>6</t>
  </si>
  <si>
    <t>2-4</t>
  </si>
  <si>
    <t>4-2</t>
  </si>
  <si>
    <t>Clinched Davis Division Title and the #1 seed</t>
  </si>
  <si>
    <t>Clinched Reilly Conference Wild Card Berth and the #2 seed</t>
  </si>
  <si>
    <t>4</t>
  </si>
  <si>
    <t>2</t>
  </si>
  <si>
    <t>5-1</t>
  </si>
  <si>
    <t>1-5</t>
  </si>
  <si>
    <t>3-3</t>
  </si>
  <si>
    <t>1</t>
  </si>
  <si>
    <t>7</t>
  </si>
  <si>
    <t>Clinched the Ramos Division Title and the #4 seed (lost to JAC in regular season)</t>
  </si>
  <si>
    <t>Clinched an automatic wild card berth and the #3 seed (beat SC in regular season)</t>
  </si>
  <si>
    <t>Clinched Byrens Division Title and the #5 seed</t>
  </si>
  <si>
    <t>3</t>
  </si>
  <si>
    <t>10</t>
  </si>
  <si>
    <t>Clinched the Siemienski Division Title and the #1 seed</t>
  </si>
  <si>
    <t>Clinched the Nagata Division Title and the #2 seed</t>
  </si>
  <si>
    <t>Clinched Playoff Spot and the #3 seed</t>
  </si>
  <si>
    <t>Clinched the Canadian Division Title and the #4 seed</t>
  </si>
  <si>
    <t>FINAL 2021 Spring Fever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</si>
</sst>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000"/>
    <numFmt numFmtId="165" formatCode="0.00_);[Red]\(0.00\)"/>
  </numFmts>
  <fonts count="47" x14ac:knownFonts="1">
    <font>
      <sz val="10"/>
      <name val="Arial Black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2" fillId="32" borderId="7" applyNumberFormat="0" applyFont="0" applyAlignment="0" applyProtection="0"/>
    <xf numFmtId="0" fontId="21" fillId="2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9" fillId="52" borderId="11" applyNumberFormat="0" applyAlignment="0" applyProtection="0"/>
    <xf numFmtId="0" fontId="29" fillId="52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38" borderId="10" applyNumberFormat="0" applyAlignment="0" applyProtection="0"/>
    <xf numFmtId="0" fontId="38" fillId="38" borderId="10" applyNumberFormat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54" borderId="16" applyNumberFormat="0" applyFont="0" applyAlignment="0" applyProtection="0"/>
    <xf numFmtId="0" fontId="5" fillId="54" borderId="16" applyNumberFormat="0" applyFont="0" applyAlignment="0" applyProtection="0"/>
    <xf numFmtId="0" fontId="5" fillId="54" borderId="16" applyNumberFormat="0" applyFont="0" applyAlignment="0" applyProtection="0"/>
    <xf numFmtId="0" fontId="43" fillId="51" borderId="17" applyNumberFormat="0" applyAlignment="0" applyProtection="0"/>
    <xf numFmtId="0" fontId="43" fillId="51" borderId="17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44"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165" fontId="4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2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/>
    <xf numFmtId="1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1" fontId="4" fillId="0" borderId="0" xfId="0" applyNumberFormat="1" applyFont="1"/>
    <xf numFmtId="38" fontId="4" fillId="0" borderId="0" xfId="0" applyNumberFormat="1" applyFont="1"/>
    <xf numFmtId="0" fontId="5" fillId="0" borderId="0" xfId="0" applyFont="1" applyFill="1"/>
    <xf numFmtId="0" fontId="25" fillId="0" borderId="0" xfId="0" applyFont="1" applyAlignment="1">
      <alignment horizontal="centerContinuous"/>
    </xf>
    <xf numFmtId="0" fontId="5" fillId="0" borderId="0" xfId="44" applyFont="1" applyFill="1"/>
    <xf numFmtId="0" fontId="4" fillId="0" borderId="0" xfId="0" applyFont="1" applyFill="1"/>
    <xf numFmtId="0" fontId="3" fillId="0" borderId="0" xfId="0" applyFont="1" applyFill="1"/>
    <xf numFmtId="1" fontId="5" fillId="0" borderId="0" xfId="0" applyNumberFormat="1" applyFont="1" applyFill="1"/>
    <xf numFmtId="49" fontId="5" fillId="0" borderId="0" xfId="0" applyNumberFormat="1" applyFont="1" applyFill="1" applyAlignment="1">
      <alignment horizontal="center"/>
    </xf>
    <xf numFmtId="0" fontId="25" fillId="0" borderId="0" xfId="44" applyFont="1" applyFill="1"/>
    <xf numFmtId="0" fontId="25" fillId="0" borderId="0" xfId="0" applyFont="1" applyFill="1"/>
    <xf numFmtId="1" fontId="25" fillId="0" borderId="0" xfId="0" applyNumberFormat="1" applyFont="1" applyFill="1"/>
    <xf numFmtId="164" fontId="25" fillId="0" borderId="0" xfId="0" applyNumberFormat="1" applyFont="1"/>
    <xf numFmtId="49" fontId="25" fillId="0" borderId="0" xfId="0" applyNumberFormat="1" applyFont="1" applyFill="1" applyAlignment="1">
      <alignment horizontal="center"/>
    </xf>
    <xf numFmtId="0" fontId="25" fillId="0" borderId="0" xfId="0" applyFont="1"/>
    <xf numFmtId="2" fontId="25" fillId="0" borderId="0" xfId="0" applyNumberFormat="1" applyFont="1"/>
    <xf numFmtId="165" fontId="25" fillId="0" borderId="0" xfId="0" applyNumberFormat="1" applyFont="1"/>
    <xf numFmtId="164" fontId="25" fillId="0" borderId="0" xfId="0" applyNumberFormat="1" applyFont="1" applyFill="1"/>
    <xf numFmtId="2" fontId="25" fillId="0" borderId="0" xfId="0" applyNumberFormat="1" applyFont="1" applyFill="1"/>
    <xf numFmtId="165" fontId="25" fillId="0" borderId="0" xfId="0" applyNumberFormat="1" applyFont="1" applyFill="1"/>
  </cellXfs>
  <cellStyles count="367">
    <cellStyle name="20% - Accent1" xfId="1" builtinId="30" customBuiltin="1"/>
    <cellStyle name="20% - Accent1 2" xfId="45"/>
    <cellStyle name="20% - Accent1 3" xfId="46"/>
    <cellStyle name="20% - Accent2" xfId="2" builtinId="34" customBuiltin="1"/>
    <cellStyle name="20% - Accent2 2" xfId="47"/>
    <cellStyle name="20% - Accent2 3" xfId="48"/>
    <cellStyle name="20% - Accent3" xfId="3" builtinId="38" customBuiltin="1"/>
    <cellStyle name="20% - Accent3 2" xfId="49"/>
    <cellStyle name="20% - Accent3 3" xfId="50"/>
    <cellStyle name="20% - Accent4" xfId="4" builtinId="42" customBuiltin="1"/>
    <cellStyle name="20% - Accent4 2" xfId="51"/>
    <cellStyle name="20% - Accent4 3" xfId="52"/>
    <cellStyle name="20% - Accent5" xfId="5" builtinId="46" customBuiltin="1"/>
    <cellStyle name="20% - Accent5 2" xfId="53"/>
    <cellStyle name="20% - Accent5 3" xfId="54"/>
    <cellStyle name="20% - Accent6" xfId="6" builtinId="50" customBuiltin="1"/>
    <cellStyle name="20% - Accent6 2" xfId="55"/>
    <cellStyle name="20% - Accent6 3" xfId="56"/>
    <cellStyle name="40% - Accent1" xfId="7" builtinId="31" customBuiltin="1"/>
    <cellStyle name="40% - Accent1 2" xfId="57"/>
    <cellStyle name="40% - Accent1 3" xfId="58"/>
    <cellStyle name="40% - Accent2" xfId="8" builtinId="35" customBuiltin="1"/>
    <cellStyle name="40% - Accent2 2" xfId="59"/>
    <cellStyle name="40% - Accent2 3" xfId="60"/>
    <cellStyle name="40% - Accent3" xfId="9" builtinId="39" customBuiltin="1"/>
    <cellStyle name="40% - Accent3 2" xfId="61"/>
    <cellStyle name="40% - Accent3 3" xfId="62"/>
    <cellStyle name="40% - Accent4" xfId="10" builtinId="43" customBuiltin="1"/>
    <cellStyle name="40% - Accent4 2" xfId="63"/>
    <cellStyle name="40% - Accent4 3" xfId="64"/>
    <cellStyle name="40% - Accent5" xfId="11" builtinId="47" customBuiltin="1"/>
    <cellStyle name="40% - Accent5 2" xfId="65"/>
    <cellStyle name="40% - Accent5 3" xfId="66"/>
    <cellStyle name="40% - Accent6" xfId="12" builtinId="51" customBuiltin="1"/>
    <cellStyle name="40% - Accent6 2" xfId="67"/>
    <cellStyle name="40% - Accent6 3" xfId="68"/>
    <cellStyle name="60% - Accent1" xfId="13" builtinId="32" customBuiltin="1"/>
    <cellStyle name="60% - Accent1 2" xfId="69"/>
    <cellStyle name="60% - Accent1 3" xfId="70"/>
    <cellStyle name="60% - Accent2" xfId="14" builtinId="36" customBuiltin="1"/>
    <cellStyle name="60% - Accent2 2" xfId="71"/>
    <cellStyle name="60% - Accent2 3" xfId="72"/>
    <cellStyle name="60% - Accent3" xfId="15" builtinId="40" customBuiltin="1"/>
    <cellStyle name="60% - Accent3 2" xfId="73"/>
    <cellStyle name="60% - Accent3 3" xfId="74"/>
    <cellStyle name="60% - Accent4" xfId="16" builtinId="44" customBuiltin="1"/>
    <cellStyle name="60% - Accent4 2" xfId="75"/>
    <cellStyle name="60% - Accent4 3" xfId="76"/>
    <cellStyle name="60% - Accent5" xfId="17" builtinId="48" customBuiltin="1"/>
    <cellStyle name="60% - Accent5 2" xfId="77"/>
    <cellStyle name="60% - Accent5 3" xfId="78"/>
    <cellStyle name="60% - Accent6" xfId="18" builtinId="52" customBuiltin="1"/>
    <cellStyle name="60% - Accent6 2" xfId="79"/>
    <cellStyle name="60% - Accent6 3" xfId="80"/>
    <cellStyle name="Accent1" xfId="19" builtinId="29" customBuiltin="1"/>
    <cellStyle name="Accent1 2" xfId="81"/>
    <cellStyle name="Accent1 3" xfId="82"/>
    <cellStyle name="Accent2" xfId="20" builtinId="33" customBuiltin="1"/>
    <cellStyle name="Accent2 2" xfId="83"/>
    <cellStyle name="Accent2 3" xfId="84"/>
    <cellStyle name="Accent3" xfId="21" builtinId="37" customBuiltin="1"/>
    <cellStyle name="Accent3 2" xfId="85"/>
    <cellStyle name="Accent3 3" xfId="86"/>
    <cellStyle name="Accent4" xfId="22" builtinId="41" customBuiltin="1"/>
    <cellStyle name="Accent4 2" xfId="87"/>
    <cellStyle name="Accent4 3" xfId="88"/>
    <cellStyle name="Accent5" xfId="23" builtinId="45" customBuiltin="1"/>
    <cellStyle name="Accent5 2" xfId="89"/>
    <cellStyle name="Accent5 3" xfId="90"/>
    <cellStyle name="Accent6" xfId="24" builtinId="49" customBuiltin="1"/>
    <cellStyle name="Accent6 2" xfId="91"/>
    <cellStyle name="Accent6 3" xfId="92"/>
    <cellStyle name="Bad" xfId="25" builtinId="27" customBuiltin="1"/>
    <cellStyle name="Bad 2" xfId="93"/>
    <cellStyle name="Bad 3" xfId="94"/>
    <cellStyle name="Calculation" xfId="26" builtinId="22" customBuiltin="1"/>
    <cellStyle name="Calculation 2" xfId="95"/>
    <cellStyle name="Calculation 3" xfId="96"/>
    <cellStyle name="Check Cell" xfId="27" builtinId="23" customBuiltin="1"/>
    <cellStyle name="Check Cell 2" xfId="97"/>
    <cellStyle name="Check Cell 3" xfId="98"/>
    <cellStyle name="Explanatory Text" xfId="28" builtinId="53" customBuiltin="1"/>
    <cellStyle name="Explanatory Text 2" xfId="99"/>
    <cellStyle name="Explanatory Text 3" xfId="100"/>
    <cellStyle name="Good" xfId="29" builtinId="26" customBuiltin="1"/>
    <cellStyle name="Good 2" xfId="101"/>
    <cellStyle name="Good 3" xfId="102"/>
    <cellStyle name="Heading 1" xfId="30" builtinId="16" customBuiltin="1"/>
    <cellStyle name="Heading 1 2" xfId="103"/>
    <cellStyle name="Heading 1 3" xfId="104"/>
    <cellStyle name="Heading 2" xfId="31" builtinId="17" customBuiltin="1"/>
    <cellStyle name="Heading 2 2" xfId="105"/>
    <cellStyle name="Heading 2 3" xfId="106"/>
    <cellStyle name="Heading 3" xfId="32" builtinId="18" customBuiltin="1"/>
    <cellStyle name="Heading 3 2" xfId="107"/>
    <cellStyle name="Heading 3 3" xfId="108"/>
    <cellStyle name="Heading 4" xfId="33" builtinId="19" customBuiltin="1"/>
    <cellStyle name="Heading 4 2" xfId="109"/>
    <cellStyle name="Heading 4 3" xfId="110"/>
    <cellStyle name="Hyperlink 2" xfId="111"/>
    <cellStyle name="Hyperlink 3" xfId="112"/>
    <cellStyle name="Hyperlink_2009_AW_Draft_Workbook" xfId="113"/>
    <cellStyle name="Input" xfId="34" builtinId="20" customBuiltin="1"/>
    <cellStyle name="Input 2" xfId="114"/>
    <cellStyle name="Input 3" xfId="115"/>
    <cellStyle name="Linked Cell" xfId="35" builtinId="24" customBuiltin="1"/>
    <cellStyle name="Linked Cell 2" xfId="116"/>
    <cellStyle name="Linked Cell 3" xfId="117"/>
    <cellStyle name="Neutral" xfId="36" builtinId="28" customBuiltin="1"/>
    <cellStyle name="Neutral 2" xfId="118"/>
    <cellStyle name="Neutral 3" xfId="119"/>
    <cellStyle name="Normal" xfId="0" builtinId="0"/>
    <cellStyle name="Normal 10" xfId="120"/>
    <cellStyle name="Normal 11" xfId="121"/>
    <cellStyle name="Normal 12" xfId="122"/>
    <cellStyle name="Normal 12 2" xfId="123"/>
    <cellStyle name="Normal 12 2 2" xfId="124"/>
    <cellStyle name="Normal 12 2 2 2" xfId="125"/>
    <cellStyle name="Normal 12 2 2 3" xfId="126"/>
    <cellStyle name="Normal 12 2 2 3 2" xfId="127"/>
    <cellStyle name="Normal 12 2 2 3 2 2" xfId="128"/>
    <cellStyle name="Normal 12 2 2 3 2 2 2" xfId="129"/>
    <cellStyle name="Normal 12 2 2 3 2 2 3" xfId="130"/>
    <cellStyle name="Normal 12 2 2 3 2 2 4" xfId="131"/>
    <cellStyle name="Normal 12 2 2 3 2 2 5" xfId="132"/>
    <cellStyle name="Normal 12 2 2 3 2 3" xfId="133"/>
    <cellStyle name="Normal 12 2 2 3 2 4" xfId="134"/>
    <cellStyle name="Normal 12 2 2 3 2 4 2" xfId="135"/>
    <cellStyle name="Normal 12 2 2 3 2 4 2 2" xfId="136"/>
    <cellStyle name="Normal 12 2 2 3 2 4 2 3" xfId="137"/>
    <cellStyle name="Normal 12 2 2 3 2 4 2 4" xfId="138"/>
    <cellStyle name="Normal 12 2 2 3 2 4 3" xfId="139"/>
    <cellStyle name="Normal 12 2 2 3 2 4 4" xfId="140"/>
    <cellStyle name="Normal 12 2 2 3 2 4 5" xfId="141"/>
    <cellStyle name="Normal 12 2 2 3 2 4 6" xfId="142"/>
    <cellStyle name="Normal 12 2 2 3 2 5" xfId="143"/>
    <cellStyle name="Normal 12 2 2 3 2 6" xfId="144"/>
    <cellStyle name="Normal 12 2 2 3 2 7" xfId="145"/>
    <cellStyle name="Normal 12 2 2 3 2 8" xfId="146"/>
    <cellStyle name="Normal 12 2 2 3 3" xfId="147"/>
    <cellStyle name="Normal 12 2 2 3 3 2" xfId="148"/>
    <cellStyle name="Normal 12 2 2 3 3 2 2" xfId="149"/>
    <cellStyle name="Normal 12 2 2 3 3 2 2 2" xfId="150"/>
    <cellStyle name="Normal 12 2 2 3 3 2 2 3" xfId="151"/>
    <cellStyle name="Normal 12 2 2 3 3 2 2 4" xfId="152"/>
    <cellStyle name="Normal 12 2 2 3 3 2 3" xfId="153"/>
    <cellStyle name="Normal 12 2 2 3 3 2 4" xfId="154"/>
    <cellStyle name="Normal 12 2 2 3 3 2 4 2" xfId="155"/>
    <cellStyle name="Normal 12 2 2 3 3 2 4 2 2" xfId="156"/>
    <cellStyle name="Normal 12 2 2 3 3 2 4 2 3" xfId="157"/>
    <cellStyle name="Normal 12 2 2 3 3 2 4 2 4" xfId="158"/>
    <cellStyle name="Normal 12 2 2 3 3 2 4 3" xfId="159"/>
    <cellStyle name="Normal 12 2 2 3 3 2 4 4" xfId="160"/>
    <cellStyle name="Normal 12 2 2 3 3 2 4 5" xfId="161"/>
    <cellStyle name="Normal 12 2 2 3 3 2 5" xfId="162"/>
    <cellStyle name="Normal 12 2 2 3 3 2 6" xfId="163"/>
    <cellStyle name="Normal 12 2 2 3 3 2 7" xfId="164"/>
    <cellStyle name="Normal 12 2 2 3 3 2 8" xfId="165"/>
    <cellStyle name="Normal 12 2 2 3 3 2 9" xfId="166"/>
    <cellStyle name="Normal 12 2 2 3 4" xfId="167"/>
    <cellStyle name="Normal 12 2 2 3 5" xfId="168"/>
    <cellStyle name="Normal 12 2 2 4" xfId="169"/>
    <cellStyle name="Normal 12 2 2 5" xfId="170"/>
    <cellStyle name="Normal 12 2 3" xfId="171"/>
    <cellStyle name="Normal 12 3" xfId="172"/>
    <cellStyle name="Normal 12 3 2" xfId="173"/>
    <cellStyle name="Normal 12 3 3" xfId="174"/>
    <cellStyle name="Normal 12 3 3 2" xfId="175"/>
    <cellStyle name="Normal 12 3 3 3" xfId="176"/>
    <cellStyle name="Normal 12 3 3 3 2" xfId="177"/>
    <cellStyle name="Normal 12 3 3 3 3" xfId="178"/>
    <cellStyle name="Normal 12 3 3 3 4" xfId="179"/>
    <cellStyle name="Normal 12 3 3 3 5" xfId="180"/>
    <cellStyle name="Normal 12 3 3 3 5 2" xfId="181"/>
    <cellStyle name="Normal 12 3 3 3 5 2 2" xfId="182"/>
    <cellStyle name="Normal 12 3 3 3 5 2 3" xfId="183"/>
    <cellStyle name="Normal 12 3 3 3 5 2 4" xfId="184"/>
    <cellStyle name="Normal 12 3 3 3 5 3" xfId="185"/>
    <cellStyle name="Normal 12 3 3 3 5 4" xfId="186"/>
    <cellStyle name="Normal 12 3 3 3 5 5" xfId="187"/>
    <cellStyle name="Normal 12 3 3 3 5 6" xfId="188"/>
    <cellStyle name="Normal 12 3 3 3 6" xfId="189"/>
    <cellStyle name="Normal 12 3 3 3 7" xfId="190"/>
    <cellStyle name="Normal 12 3 3 3 8" xfId="191"/>
    <cellStyle name="Normal 12 3 3 4" xfId="192"/>
    <cellStyle name="Normal 12 3 3 5" xfId="193"/>
    <cellStyle name="Normal 12 3 3 5 2" xfId="194"/>
    <cellStyle name="Normal 12 3 3 5 3" xfId="195"/>
    <cellStyle name="Normal 12 3 3 5 4" xfId="196"/>
    <cellStyle name="Normal 12 3 3 5 5" xfId="197"/>
    <cellStyle name="Normal 12 3 3 6" xfId="198"/>
    <cellStyle name="Normal 12 3 4" xfId="199"/>
    <cellStyle name="Normal 12 4" xfId="200"/>
    <cellStyle name="Normal 13" xfId="201"/>
    <cellStyle name="Normal 14" xfId="202"/>
    <cellStyle name="Normal 15" xfId="203"/>
    <cellStyle name="Normal 16" xfId="204"/>
    <cellStyle name="Normal 17" xfId="205"/>
    <cellStyle name="Normal 18" xfId="206"/>
    <cellStyle name="Normal 19" xfId="207"/>
    <cellStyle name="Normal 2" xfId="42"/>
    <cellStyle name="Normal 2 2" xfId="208"/>
    <cellStyle name="Normal 2 2 2" xfId="209"/>
    <cellStyle name="Normal 2 3" xfId="210"/>
    <cellStyle name="Normal 2 3 2" xfId="211"/>
    <cellStyle name="Normal 2 3 3" xfId="212"/>
    <cellStyle name="Normal 2 4" xfId="213"/>
    <cellStyle name="Normal 2_2013_Autumn_Wind_Database" xfId="214"/>
    <cellStyle name="Normal 20" xfId="215"/>
    <cellStyle name="Normal 21" xfId="216"/>
    <cellStyle name="Normal 22" xfId="217"/>
    <cellStyle name="Normal 23" xfId="218"/>
    <cellStyle name="Normal 24" xfId="219"/>
    <cellStyle name="Normal 25" xfId="220"/>
    <cellStyle name="Normal 26" xfId="221"/>
    <cellStyle name="Normal 27" xfId="222"/>
    <cellStyle name="Normal 28" xfId="223"/>
    <cellStyle name="Normal 29" xfId="224"/>
    <cellStyle name="Normal 3" xfId="225"/>
    <cellStyle name="Normal 3 2" xfId="226"/>
    <cellStyle name="Normal 3 3" xfId="227"/>
    <cellStyle name="Normal 3 3 2" xfId="228"/>
    <cellStyle name="Normal 3 4" xfId="229"/>
    <cellStyle name="Normal 30" xfId="230"/>
    <cellStyle name="Normal 31" xfId="231"/>
    <cellStyle name="Normal 32" xfId="232"/>
    <cellStyle name="Normal 33" xfId="233"/>
    <cellStyle name="Normal 34" xfId="234"/>
    <cellStyle name="Normal 35" xfId="235"/>
    <cellStyle name="Normal 36" xfId="236"/>
    <cellStyle name="Normal 37" xfId="237"/>
    <cellStyle name="Normal 37 2" xfId="238"/>
    <cellStyle name="Normal 38" xfId="239"/>
    <cellStyle name="Normal 39" xfId="240"/>
    <cellStyle name="Normal 4" xfId="43"/>
    <cellStyle name="Normal 4 2" xfId="241"/>
    <cellStyle name="Normal 4 2 2" xfId="242"/>
    <cellStyle name="Normal 4 3" xfId="243"/>
    <cellStyle name="Normal 40" xfId="244"/>
    <cellStyle name="Normal 41" xfId="245"/>
    <cellStyle name="Normal 42" xfId="246"/>
    <cellStyle name="Normal 42 2" xfId="247"/>
    <cellStyle name="Normal 42 3" xfId="248"/>
    <cellStyle name="Normal 42 3 2" xfId="249"/>
    <cellStyle name="Normal 42 3 2 2" xfId="250"/>
    <cellStyle name="Normal 42 3 2 3" xfId="251"/>
    <cellStyle name="Normal 42 3 2 4" xfId="252"/>
    <cellStyle name="Normal 42 3 3" xfId="253"/>
    <cellStyle name="Normal 42 3 4" xfId="254"/>
    <cellStyle name="Normal 42 3 5" xfId="255"/>
    <cellStyle name="Normal 42 3 5 2" xfId="256"/>
    <cellStyle name="Normal 42 3 5 2 2" xfId="257"/>
    <cellStyle name="Normal 42 3 5 2 3" xfId="258"/>
    <cellStyle name="Normal 42 3 5 2 4" xfId="259"/>
    <cellStyle name="Normal 42 3 5 3" xfId="260"/>
    <cellStyle name="Normal 42 3 5 4" xfId="261"/>
    <cellStyle name="Normal 42 3 5 5" xfId="262"/>
    <cellStyle name="Normal 42 3 5 6" xfId="263"/>
    <cellStyle name="Normal 42 3 6" xfId="264"/>
    <cellStyle name="Normal 42 3 7" xfId="265"/>
    <cellStyle name="Normal 42 3 8" xfId="266"/>
    <cellStyle name="Normal 42 3 9" xfId="267"/>
    <cellStyle name="Normal 42 4" xfId="268"/>
    <cellStyle name="Normal 42 5" xfId="269"/>
    <cellStyle name="Normal 42 5 2" xfId="270"/>
    <cellStyle name="Normal 42 5 3" xfId="271"/>
    <cellStyle name="Normal 42 5 4" xfId="272"/>
    <cellStyle name="Normal 42 5 4 2" xfId="273"/>
    <cellStyle name="Normal 42 5 4 2 2" xfId="274"/>
    <cellStyle name="Normal 42 5 4 2 3" xfId="275"/>
    <cellStyle name="Normal 42 5 4 2 4" xfId="276"/>
    <cellStyle name="Normal 42 5 4 3" xfId="277"/>
    <cellStyle name="Normal 42 5 4 4" xfId="278"/>
    <cellStyle name="Normal 42 5 4 5" xfId="279"/>
    <cellStyle name="Normal 42 5 5" xfId="280"/>
    <cellStyle name="Normal 42 5 6" xfId="281"/>
    <cellStyle name="Normal 42 5 7" xfId="282"/>
    <cellStyle name="Normal 42 5 8" xfId="283"/>
    <cellStyle name="Normal 42 6" xfId="284"/>
    <cellStyle name="Normal 42 7" xfId="285"/>
    <cellStyle name="Normal 42 8" xfId="286"/>
    <cellStyle name="Normal 43" xfId="287"/>
    <cellStyle name="Normal 44" xfId="288"/>
    <cellStyle name="Normal 44 2" xfId="289"/>
    <cellStyle name="Normal 45" xfId="290"/>
    <cellStyle name="Normal 45 2" xfId="291"/>
    <cellStyle name="Normal 46" xfId="292"/>
    <cellStyle name="Normal 47" xfId="293"/>
    <cellStyle name="Normal 48" xfId="294"/>
    <cellStyle name="Normal 49" xfId="295"/>
    <cellStyle name="Normal 5" xfId="296"/>
    <cellStyle name="Normal 5 2" xfId="297"/>
    <cellStyle name="Normal 50" xfId="298"/>
    <cellStyle name="Normal 51" xfId="299"/>
    <cellStyle name="Normal 52" xfId="300"/>
    <cellStyle name="Normal 52 2" xfId="301"/>
    <cellStyle name="Normal 53" xfId="302"/>
    <cellStyle name="Normal 54" xfId="303"/>
    <cellStyle name="Normal 55" xfId="304"/>
    <cellStyle name="Normal 56" xfId="305"/>
    <cellStyle name="Normal 57" xfId="306"/>
    <cellStyle name="Normal 58" xfId="307"/>
    <cellStyle name="Normal 59" xfId="308"/>
    <cellStyle name="Normal 6" xfId="309"/>
    <cellStyle name="Normal 6 2" xfId="310"/>
    <cellStyle name="Normal 60" xfId="311"/>
    <cellStyle name="Normal 61" xfId="312"/>
    <cellStyle name="Normal 62" xfId="313"/>
    <cellStyle name="Normal 63" xfId="314"/>
    <cellStyle name="Normal 64" xfId="315"/>
    <cellStyle name="Normal 65" xfId="316"/>
    <cellStyle name="Normal 66" xfId="317"/>
    <cellStyle name="Normal 67" xfId="318"/>
    <cellStyle name="Normal 68" xfId="319"/>
    <cellStyle name="Normal 69" xfId="320"/>
    <cellStyle name="Normal 69 2" xfId="321"/>
    <cellStyle name="Normal 69 3" xfId="322"/>
    <cellStyle name="Normal 7" xfId="323"/>
    <cellStyle name="Normal 70" xfId="324"/>
    <cellStyle name="Normal 71" xfId="325"/>
    <cellStyle name="Normal 71 2" xfId="326"/>
    <cellStyle name="Normal 72" xfId="327"/>
    <cellStyle name="Normal 72 2" xfId="328"/>
    <cellStyle name="Normal 73" xfId="329"/>
    <cellStyle name="Normal 74" xfId="330"/>
    <cellStyle name="Normal 75" xfId="331"/>
    <cellStyle name="Normal 76" xfId="332"/>
    <cellStyle name="Normal 77" xfId="333"/>
    <cellStyle name="Normal 78" xfId="334"/>
    <cellStyle name="Normal 79" xfId="335"/>
    <cellStyle name="Normal 8" xfId="336"/>
    <cellStyle name="Normal 80" xfId="337"/>
    <cellStyle name="Normal 81" xfId="338"/>
    <cellStyle name="Normal 82" xfId="339"/>
    <cellStyle name="Normal 83" xfId="340"/>
    <cellStyle name="Normal 84" xfId="341"/>
    <cellStyle name="Normal 85" xfId="342"/>
    <cellStyle name="Normal 86" xfId="343"/>
    <cellStyle name="Normal 87" xfId="344"/>
    <cellStyle name="Normal 88" xfId="345"/>
    <cellStyle name="Normal 88 2" xfId="346"/>
    <cellStyle name="Normal 89" xfId="347"/>
    <cellStyle name="Normal 89 2" xfId="348"/>
    <cellStyle name="Normal 9" xfId="349"/>
    <cellStyle name="Normal 90" xfId="44"/>
    <cellStyle name="Normal 91" xfId="350"/>
    <cellStyle name="Note" xfId="37" builtinId="10" customBuiltin="1"/>
    <cellStyle name="Note 2" xfId="351"/>
    <cellStyle name="Note 3" xfId="352"/>
    <cellStyle name="Note 4" xfId="353"/>
    <cellStyle name="Output" xfId="38" builtinId="21" customBuiltin="1"/>
    <cellStyle name="Output 2" xfId="354"/>
    <cellStyle name="Output 3" xfId="355"/>
    <cellStyle name="Percent 2" xfId="356"/>
    <cellStyle name="Percent 2 2" xfId="357"/>
    <cellStyle name="Percent 3" xfId="358"/>
    <cellStyle name="Percent 4" xfId="359"/>
    <cellStyle name="Pourcentage 2" xfId="360"/>
    <cellStyle name="Title" xfId="39" builtinId="15" customBuiltin="1"/>
    <cellStyle name="Title 2" xfId="361"/>
    <cellStyle name="Title 3" xfId="362"/>
    <cellStyle name="Total" xfId="40" builtinId="25" customBuiltin="1"/>
    <cellStyle name="Total 2" xfId="363"/>
    <cellStyle name="Total 3" xfId="364"/>
    <cellStyle name="Warning Text" xfId="41" builtinId="11" customBuiltin="1"/>
    <cellStyle name="Warning Text 2" xfId="365"/>
    <cellStyle name="Warning Text 3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STAB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workbookViewId="0">
      <selection activeCell="A63" sqref="A63"/>
    </sheetView>
  </sheetViews>
  <sheetFormatPr defaultRowHeight="15" x14ac:dyDescent="0.3"/>
  <cols>
    <col min="1" max="1" width="18.77734375" style="1" bestFit="1" customWidth="1"/>
    <col min="2" max="4" width="3.77734375" style="1" customWidth="1"/>
    <col min="5" max="5" width="5.88671875" style="2" customWidth="1"/>
    <col min="6" max="6" width="4.77734375" style="3" customWidth="1"/>
    <col min="7" max="7" width="5.109375" style="1" customWidth="1"/>
    <col min="8" max="8" width="5.77734375" style="4" bestFit="1" customWidth="1"/>
    <col min="9" max="9" width="5.109375" style="1" customWidth="1"/>
    <col min="10" max="10" width="6.109375" style="4" customWidth="1"/>
    <col min="11" max="11" width="5.77734375" style="5" customWidth="1"/>
    <col min="12" max="12" width="6.33203125" style="6" customWidth="1"/>
    <col min="13" max="13" width="60.21875" style="7" bestFit="1" customWidth="1"/>
    <col min="15" max="15" width="18.6640625" bestFit="1" customWidth="1"/>
  </cols>
  <sheetData>
    <row r="1" spans="1:13" x14ac:dyDescent="0.3">
      <c r="A1" s="8" t="s">
        <v>70</v>
      </c>
      <c r="B1" s="8"/>
      <c r="C1" s="8"/>
      <c r="D1" s="8"/>
      <c r="E1" s="9"/>
      <c r="F1" s="9"/>
      <c r="G1" s="8"/>
      <c r="H1" s="9"/>
      <c r="I1" s="8"/>
      <c r="J1" s="9"/>
      <c r="K1" s="9"/>
      <c r="L1" s="9"/>
    </row>
    <row r="2" spans="1:13" ht="9.9499999999999993" customHeight="1" x14ac:dyDescent="0.3">
      <c r="A2" s="8"/>
      <c r="B2" s="8"/>
      <c r="C2" s="8"/>
      <c r="D2" s="8"/>
      <c r="E2" s="10"/>
      <c r="G2" s="8"/>
      <c r="H2" s="11"/>
      <c r="I2" s="8"/>
      <c r="J2" s="11"/>
      <c r="K2" s="12"/>
    </row>
    <row r="3" spans="1:13" x14ac:dyDescent="0.3">
      <c r="A3" s="8" t="s">
        <v>0</v>
      </c>
      <c r="B3" s="13"/>
      <c r="C3" s="13"/>
      <c r="D3" s="13"/>
      <c r="E3" s="14"/>
      <c r="F3" s="14"/>
      <c r="G3" s="13"/>
      <c r="H3" s="14"/>
      <c r="I3" s="13"/>
      <c r="J3" s="14"/>
      <c r="K3" s="14"/>
      <c r="L3" s="14"/>
    </row>
    <row r="4" spans="1:13" ht="9.9499999999999993" customHeight="1" x14ac:dyDescent="0.3"/>
    <row r="5" spans="1:13" x14ac:dyDescent="0.3">
      <c r="A5" s="27" t="s">
        <v>1</v>
      </c>
      <c r="B5" s="13"/>
      <c r="C5" s="13"/>
      <c r="D5" s="13"/>
      <c r="E5" s="14"/>
      <c r="F5" s="14"/>
      <c r="G5" s="13"/>
      <c r="H5" s="14"/>
      <c r="I5" s="13"/>
      <c r="J5" s="14"/>
      <c r="K5" s="14"/>
      <c r="L5" s="14"/>
    </row>
    <row r="6" spans="1:13" ht="9.9499999999999993" customHeight="1" x14ac:dyDescent="0.3"/>
    <row r="7" spans="1:13" x14ac:dyDescent="0.3">
      <c r="A7" s="15" t="s">
        <v>2</v>
      </c>
      <c r="B7" s="15" t="s">
        <v>3</v>
      </c>
      <c r="C7" s="15" t="s">
        <v>4</v>
      </c>
      <c r="D7" s="15" t="s">
        <v>5</v>
      </c>
      <c r="E7" s="16" t="s">
        <v>6</v>
      </c>
      <c r="F7" s="3" t="s">
        <v>7</v>
      </c>
      <c r="G7" s="15" t="s">
        <v>8</v>
      </c>
      <c r="H7" s="17" t="s">
        <v>9</v>
      </c>
      <c r="I7" s="15" t="s">
        <v>10</v>
      </c>
      <c r="J7" s="17" t="s">
        <v>11</v>
      </c>
      <c r="K7" s="18" t="s">
        <v>12</v>
      </c>
      <c r="L7" s="3" t="s">
        <v>13</v>
      </c>
      <c r="M7" s="1" t="s">
        <v>44</v>
      </c>
    </row>
    <row r="8" spans="1:13" ht="9.75" customHeight="1" x14ac:dyDescent="0.3">
      <c r="A8" s="15"/>
      <c r="B8" s="15"/>
      <c r="C8" s="15"/>
      <c r="D8" s="15"/>
      <c r="E8" s="16"/>
      <c r="G8" s="15"/>
      <c r="H8" s="17"/>
      <c r="I8" s="15"/>
      <c r="J8" s="17"/>
      <c r="K8" s="18"/>
    </row>
    <row r="9" spans="1:13" s="30" customFormat="1" x14ac:dyDescent="0.3">
      <c r="A9" s="33" t="s">
        <v>31</v>
      </c>
      <c r="B9" s="34">
        <v>13</v>
      </c>
      <c r="C9" s="35">
        <v>3</v>
      </c>
      <c r="D9" s="34">
        <v>0</v>
      </c>
      <c r="E9" s="36">
        <f>((B9+(D9*0.5))/(B9+C9+D9))</f>
        <v>0.8125</v>
      </c>
      <c r="F9" s="37" t="s">
        <v>14</v>
      </c>
      <c r="G9" s="38">
        <f>22+41+26+34+27+27+34+24+21+18+15+23+27+23+14+20</f>
        <v>396</v>
      </c>
      <c r="H9" s="39">
        <f>G9/(B9+C9+D9)</f>
        <v>24.75</v>
      </c>
      <c r="I9" s="38">
        <f>20+14+9+20+20+24+21+5+25+14+6+20+17+20+31+23</f>
        <v>289</v>
      </c>
      <c r="J9" s="39">
        <f>I9/(B9+C9+D9)</f>
        <v>18.0625</v>
      </c>
      <c r="K9" s="40">
        <f>H9-J9</f>
        <v>6.6875</v>
      </c>
      <c r="L9" s="37" t="s">
        <v>58</v>
      </c>
      <c r="M9" s="34" t="s">
        <v>52</v>
      </c>
    </row>
    <row r="10" spans="1:13" x14ac:dyDescent="0.3">
      <c r="A10" s="33" t="s">
        <v>33</v>
      </c>
      <c r="B10" s="34">
        <v>12</v>
      </c>
      <c r="C10" s="35">
        <v>4</v>
      </c>
      <c r="D10" s="34">
        <v>0</v>
      </c>
      <c r="E10" s="41">
        <f>((B10+(D10*0.5))/(B10+C10+D10))</f>
        <v>0.75</v>
      </c>
      <c r="F10" s="37" t="s">
        <v>59</v>
      </c>
      <c r="G10" s="34">
        <f>36+17+30+24+23+32+35+36+17+30+24+6+27+28+19+31</f>
        <v>415</v>
      </c>
      <c r="H10" s="42">
        <f>G10/(B10+C10+D10)</f>
        <v>25.9375</v>
      </c>
      <c r="I10" s="34">
        <f>21+10+28+22+24+39+18+9+0+20+17+15+20+21+20+14</f>
        <v>298</v>
      </c>
      <c r="J10" s="42">
        <f>I10/(B10+C10+D10)</f>
        <v>18.625</v>
      </c>
      <c r="K10" s="43">
        <f>H10-J10</f>
        <v>7.3125</v>
      </c>
      <c r="L10" s="37" t="s">
        <v>51</v>
      </c>
      <c r="M10" s="34" t="s">
        <v>53</v>
      </c>
    </row>
    <row r="11" spans="1:13" x14ac:dyDescent="0.3">
      <c r="A11" s="33" t="s">
        <v>26</v>
      </c>
      <c r="B11" s="34">
        <v>11</v>
      </c>
      <c r="C11" s="35">
        <v>5</v>
      </c>
      <c r="D11" s="34">
        <v>0</v>
      </c>
      <c r="E11" s="36">
        <f>((B11+(D11*0.5))/(B11+C11+D11))</f>
        <v>0.6875</v>
      </c>
      <c r="F11" s="37" t="s">
        <v>55</v>
      </c>
      <c r="G11" s="38">
        <f>16+28+31+3+24+36+34+23+28+25+20+13+20+13+34+20</f>
        <v>368</v>
      </c>
      <c r="H11" s="39">
        <f>G11/(B11+C11+D11)</f>
        <v>23</v>
      </c>
      <c r="I11" s="38">
        <f>14+12+24+18+28+18+24+10+21+21+30+23+19+6+13+23</f>
        <v>304</v>
      </c>
      <c r="J11" s="39">
        <f>I11/(B11+C11+D11)</f>
        <v>19</v>
      </c>
      <c r="K11" s="40">
        <f>H11-J11</f>
        <v>4</v>
      </c>
      <c r="L11" s="37" t="s">
        <v>51</v>
      </c>
      <c r="M11" s="34" t="s">
        <v>62</v>
      </c>
    </row>
    <row r="12" spans="1:13" x14ac:dyDescent="0.3">
      <c r="A12" s="28" t="s">
        <v>22</v>
      </c>
      <c r="B12" s="26">
        <v>8</v>
      </c>
      <c r="C12" s="31">
        <v>8</v>
      </c>
      <c r="D12" s="26">
        <v>0</v>
      </c>
      <c r="E12" s="21">
        <f>((B12+(D12*0.5))/(B12+C12+D12))</f>
        <v>0.5</v>
      </c>
      <c r="F12" s="32" t="s">
        <v>48</v>
      </c>
      <c r="G12" s="7">
        <f>16+12+24+24+30+42+21+17+0+21+31+14+21+6+18+23</f>
        <v>320</v>
      </c>
      <c r="H12" s="22">
        <f>G12/(B12+C12+D12)</f>
        <v>20</v>
      </c>
      <c r="I12" s="7">
        <f>10+9+10+14+7+0+27+23+17+28+34+18+28+13+9+20</f>
        <v>267</v>
      </c>
      <c r="J12" s="22">
        <f>I12/(B12+C12+D12)</f>
        <v>16.6875</v>
      </c>
      <c r="K12" s="23">
        <f>H12-J12</f>
        <v>3.3125</v>
      </c>
      <c r="L12" s="32" t="s">
        <v>57</v>
      </c>
      <c r="M12" s="26" t="s">
        <v>47</v>
      </c>
    </row>
    <row r="13" spans="1:13" ht="9.9499999999999993" customHeight="1" x14ac:dyDescent="0.3">
      <c r="B13" s="7"/>
      <c r="C13" s="7"/>
      <c r="D13" s="7"/>
      <c r="E13" s="21"/>
      <c r="F13" s="6"/>
      <c r="G13" s="7"/>
      <c r="H13" s="22"/>
      <c r="I13" s="7"/>
      <c r="J13" s="22"/>
      <c r="K13" s="23"/>
    </row>
    <row r="14" spans="1:13" x14ac:dyDescent="0.3">
      <c r="A14" s="27" t="s">
        <v>15</v>
      </c>
      <c r="B14" s="8"/>
      <c r="C14" s="8"/>
      <c r="D14" s="8"/>
      <c r="E14" s="9"/>
      <c r="F14" s="9"/>
      <c r="G14" s="8"/>
      <c r="H14" s="9"/>
      <c r="I14" s="8"/>
      <c r="J14" s="9"/>
      <c r="K14" s="9"/>
      <c r="L14" s="9"/>
    </row>
    <row r="15" spans="1:13" ht="9.9499999999999993" customHeight="1" x14ac:dyDescent="0.3">
      <c r="H15" s="5"/>
      <c r="J15" s="5"/>
    </row>
    <row r="16" spans="1:13" x14ac:dyDescent="0.3">
      <c r="A16" s="15" t="s">
        <v>2</v>
      </c>
      <c r="B16" s="15"/>
      <c r="C16" s="15"/>
      <c r="D16" s="15"/>
      <c r="E16" s="16" t="s">
        <v>6</v>
      </c>
      <c r="F16" s="3" t="s">
        <v>7</v>
      </c>
      <c r="G16" s="15" t="s">
        <v>8</v>
      </c>
      <c r="H16" s="18" t="s">
        <v>9</v>
      </c>
      <c r="I16" s="15" t="s">
        <v>10</v>
      </c>
      <c r="J16" s="18" t="s">
        <v>11</v>
      </c>
      <c r="K16" s="18" t="s">
        <v>12</v>
      </c>
      <c r="L16" s="3" t="s">
        <v>13</v>
      </c>
    </row>
    <row r="17" spans="1:13" ht="9.9499999999999993" customHeight="1" x14ac:dyDescent="0.3">
      <c r="A17" s="15"/>
      <c r="B17" s="15"/>
      <c r="C17" s="15"/>
      <c r="D17" s="15"/>
      <c r="E17" s="16"/>
      <c r="G17" s="15"/>
      <c r="H17" s="18"/>
      <c r="I17" s="15"/>
      <c r="J17" s="18"/>
      <c r="K17" s="18"/>
    </row>
    <row r="18" spans="1:13" x14ac:dyDescent="0.3">
      <c r="A18" s="33" t="s">
        <v>35</v>
      </c>
      <c r="B18" s="34">
        <v>10</v>
      </c>
      <c r="C18" s="35">
        <v>6</v>
      </c>
      <c r="D18" s="34">
        <v>0</v>
      </c>
      <c r="E18" s="36">
        <f>((B18+(D18*0.5))/(B18+C18+D18))</f>
        <v>0.625</v>
      </c>
      <c r="F18" s="37" t="s">
        <v>14</v>
      </c>
      <c r="G18" s="38">
        <f>10+20+10+18+19+31+19+28+24+31+27+37+29+26+24+23</f>
        <v>376</v>
      </c>
      <c r="H18" s="39">
        <f>G18/(B18+C18+D18)</f>
        <v>23.5</v>
      </c>
      <c r="I18" s="38">
        <f>16+22+17+3+24+0+13+13+27+15+6+21+17+31+21+20</f>
        <v>266</v>
      </c>
      <c r="J18" s="39">
        <f>I18/(B18+C18+D18)</f>
        <v>16.625</v>
      </c>
      <c r="K18" s="40">
        <f>H18-J18</f>
        <v>6.875</v>
      </c>
      <c r="L18" s="37" t="s">
        <v>51</v>
      </c>
      <c r="M18" s="34" t="s">
        <v>63</v>
      </c>
    </row>
    <row r="19" spans="1:13" x14ac:dyDescent="0.3">
      <c r="A19" s="28" t="s">
        <v>30</v>
      </c>
      <c r="B19" s="26">
        <v>7</v>
      </c>
      <c r="C19" s="31">
        <v>9</v>
      </c>
      <c r="D19" s="26">
        <v>0</v>
      </c>
      <c r="E19" s="21">
        <f>((B19+(D19*0.5))/(B19+C19+D19))</f>
        <v>0.4375</v>
      </c>
      <c r="F19" s="32" t="s">
        <v>64</v>
      </c>
      <c r="G19" s="7">
        <f>9+9+14+22+13+13+17+27+37+21+38+12+21+31+16+14</f>
        <v>314</v>
      </c>
      <c r="H19" s="22">
        <f>G19/(B19+C19+D19)</f>
        <v>19.625</v>
      </c>
      <c r="I19" s="7">
        <f>12+26+16+24+14+19+29+6+24+13+14+31+6+26+9+16</f>
        <v>285</v>
      </c>
      <c r="J19" s="22">
        <f>I19/(B19+C19+D19)</f>
        <v>17.8125</v>
      </c>
      <c r="K19" s="23">
        <f>H19-J19</f>
        <v>1.8125</v>
      </c>
      <c r="L19" s="32" t="s">
        <v>58</v>
      </c>
      <c r="M19" s="26" t="s">
        <v>47</v>
      </c>
    </row>
    <row r="20" spans="1:13" x14ac:dyDescent="0.3">
      <c r="A20" s="28" t="s">
        <v>43</v>
      </c>
      <c r="B20" s="26">
        <v>6</v>
      </c>
      <c r="C20" s="31">
        <v>10</v>
      </c>
      <c r="D20" s="26">
        <v>0</v>
      </c>
      <c r="E20" s="21">
        <f>((B20+(D20*0.5))/(B20+C20+D20))</f>
        <v>0.375</v>
      </c>
      <c r="F20" s="32" t="s">
        <v>54</v>
      </c>
      <c r="G20" s="7">
        <f>21+10+20+12+24+14+13+14+10+16+21+31+6+31+17+27</f>
        <v>287</v>
      </c>
      <c r="H20" s="22">
        <f>G20/(B20+C20+D20)</f>
        <v>17.9375</v>
      </c>
      <c r="I20" s="7">
        <f>36+24+34+28+19+13+24+34+23+31+16+13+21+24+29+7</f>
        <v>376</v>
      </c>
      <c r="J20" s="22">
        <f>I20/(B20+C20+D20)</f>
        <v>23.5</v>
      </c>
      <c r="K20" s="23">
        <f>H20-J20</f>
        <v>-5.5625</v>
      </c>
      <c r="L20" s="32" t="s">
        <v>58</v>
      </c>
      <c r="M20" s="26" t="s">
        <v>47</v>
      </c>
    </row>
    <row r="21" spans="1:13" x14ac:dyDescent="0.3">
      <c r="A21" s="28" t="s">
        <v>40</v>
      </c>
      <c r="B21" s="26">
        <v>3</v>
      </c>
      <c r="C21" s="31">
        <v>13</v>
      </c>
      <c r="D21" s="26">
        <v>0</v>
      </c>
      <c r="E21" s="21">
        <f>((B21+(D21*0.5))/(B21+C21+D21))</f>
        <v>0.1875</v>
      </c>
      <c r="F21" s="32" t="s">
        <v>60</v>
      </c>
      <c r="G21" s="7">
        <f>14+24+14+28+13+10+6+34+21+14+13+31+16+11+7+20</f>
        <v>276</v>
      </c>
      <c r="H21" s="22">
        <f>G21/(B21+C21+D21)</f>
        <v>17.25</v>
      </c>
      <c r="I21" s="7">
        <f>41+31+24+30+28+31+27+14+28+17+9+34+14+32+27+23</f>
        <v>410</v>
      </c>
      <c r="J21" s="22">
        <f>I21/(B21+C21+D21)</f>
        <v>25.625</v>
      </c>
      <c r="K21" s="23">
        <f>H21-J21</f>
        <v>-8.375</v>
      </c>
      <c r="L21" s="32" t="s">
        <v>50</v>
      </c>
      <c r="M21" s="26" t="s">
        <v>47</v>
      </c>
    </row>
    <row r="22" spans="1:13" ht="9.9499999999999993" customHeight="1" x14ac:dyDescent="0.3">
      <c r="H22" s="5"/>
      <c r="J22" s="5"/>
    </row>
    <row r="23" spans="1:13" x14ac:dyDescent="0.3">
      <c r="A23" s="27" t="s">
        <v>16</v>
      </c>
      <c r="B23" s="8"/>
      <c r="C23" s="8"/>
      <c r="D23" s="8"/>
      <c r="E23" s="9"/>
      <c r="F23" s="9"/>
      <c r="G23" s="8"/>
      <c r="H23" s="9"/>
      <c r="I23" s="8"/>
      <c r="J23" s="9"/>
      <c r="K23" s="9"/>
      <c r="L23" s="9"/>
    </row>
    <row r="24" spans="1:13" ht="9.9499999999999993" customHeight="1" x14ac:dyDescent="0.3">
      <c r="H24" s="5"/>
      <c r="J24" s="5"/>
    </row>
    <row r="25" spans="1:13" x14ac:dyDescent="0.3">
      <c r="A25" s="15" t="s">
        <v>2</v>
      </c>
      <c r="B25" s="15"/>
      <c r="C25" s="15"/>
      <c r="D25" s="15"/>
      <c r="E25" s="16" t="s">
        <v>6</v>
      </c>
      <c r="F25" s="3" t="s">
        <v>7</v>
      </c>
      <c r="G25" s="15" t="s">
        <v>8</v>
      </c>
      <c r="H25" s="18" t="s">
        <v>9</v>
      </c>
      <c r="I25" s="15" t="s">
        <v>10</v>
      </c>
      <c r="J25" s="18" t="s">
        <v>11</v>
      </c>
      <c r="K25" s="18" t="s">
        <v>12</v>
      </c>
      <c r="L25" s="3" t="s">
        <v>13</v>
      </c>
    </row>
    <row r="26" spans="1:13" ht="9.9499999999999993" customHeight="1" x14ac:dyDescent="0.3">
      <c r="A26" s="15"/>
      <c r="B26" s="15"/>
      <c r="C26" s="20"/>
      <c r="D26" s="15"/>
      <c r="E26" s="16"/>
      <c r="G26" s="15"/>
      <c r="H26" s="18"/>
      <c r="I26" s="15"/>
      <c r="J26" s="18"/>
      <c r="K26" s="18"/>
    </row>
    <row r="27" spans="1:13" x14ac:dyDescent="0.3">
      <c r="A27" s="33" t="s">
        <v>41</v>
      </c>
      <c r="B27" s="34">
        <v>11</v>
      </c>
      <c r="C27" s="35">
        <v>5</v>
      </c>
      <c r="D27" s="34">
        <v>0</v>
      </c>
      <c r="E27" s="36">
        <f>((B27+(D27*0.5))/(B27+C27+D27))</f>
        <v>0.6875</v>
      </c>
      <c r="F27" s="37" t="s">
        <v>14</v>
      </c>
      <c r="G27" s="38">
        <f>38+28+16+14+39+21+24+23+23+31+21+28+45+36+24+23</f>
        <v>434</v>
      </c>
      <c r="H27" s="39">
        <f>G27/(B27+C27+D27)</f>
        <v>27.125</v>
      </c>
      <c r="I27" s="38">
        <f>21+25+26+27+32+34+34+17+10+12+37+21+31+14+19+20</f>
        <v>380</v>
      </c>
      <c r="J27" s="39">
        <f>I27/(B27+C27+D27)</f>
        <v>23.75</v>
      </c>
      <c r="K27" s="40">
        <f>H27-J27</f>
        <v>3.375</v>
      </c>
      <c r="L27" s="37" t="s">
        <v>56</v>
      </c>
      <c r="M27" s="34" t="s">
        <v>61</v>
      </c>
    </row>
    <row r="28" spans="1:13" x14ac:dyDescent="0.3">
      <c r="A28" s="28" t="s">
        <v>25</v>
      </c>
      <c r="B28" s="26">
        <v>7</v>
      </c>
      <c r="C28" s="31">
        <v>9</v>
      </c>
      <c r="D28" s="26">
        <v>0</v>
      </c>
      <c r="E28" s="21">
        <f>((B28+(D28*0.5))/(B28+C28+D28))</f>
        <v>0.4375</v>
      </c>
      <c r="F28" s="32" t="s">
        <v>54</v>
      </c>
      <c r="G28" s="7">
        <f>23+9+28+21+24+7+28+24+24+27+31+34+28+19+17+19</f>
        <v>363</v>
      </c>
      <c r="H28" s="22">
        <f>G28/(B28+C28+D28)</f>
        <v>22.6875</v>
      </c>
      <c r="I28" s="7">
        <f>18+45+23+38+23+30+24+27+37+24+16+31+32+24+19+24</f>
        <v>435</v>
      </c>
      <c r="J28" s="22">
        <f>I28/(B28+C28+D28)</f>
        <v>27.1875</v>
      </c>
      <c r="K28" s="23">
        <f>H28-J28</f>
        <v>-4.5</v>
      </c>
      <c r="L28" s="32" t="s">
        <v>50</v>
      </c>
      <c r="M28" s="26" t="s">
        <v>47</v>
      </c>
    </row>
    <row r="29" spans="1:13" x14ac:dyDescent="0.3">
      <c r="A29" s="28" t="s">
        <v>37</v>
      </c>
      <c r="B29" s="26">
        <v>5</v>
      </c>
      <c r="C29" s="31">
        <v>11</v>
      </c>
      <c r="D29" s="26">
        <v>0</v>
      </c>
      <c r="E29" s="21">
        <f>((B29+(D29*0.5))/(B29+C29+D29))</f>
        <v>0.3125</v>
      </c>
      <c r="F29" s="32" t="s">
        <v>49</v>
      </c>
      <c r="G29" s="7">
        <f>18+9+25+17+18+20+27+9+14+16+15+17+32+35+14+34</f>
        <v>320</v>
      </c>
      <c r="H29" s="22">
        <f>G29/(B29+C29+D29)</f>
        <v>20</v>
      </c>
      <c r="I29" s="7">
        <f>23+32+28+20+36+27+21+36+38+21+31+14+28+13+36+21</f>
        <v>425</v>
      </c>
      <c r="J29" s="22">
        <f>I29/(B29+C29+D29)</f>
        <v>26.5625</v>
      </c>
      <c r="K29" s="23">
        <f>H29-J29</f>
        <v>-6.5625</v>
      </c>
      <c r="L29" s="32" t="s">
        <v>50</v>
      </c>
      <c r="M29" s="26" t="s">
        <v>47</v>
      </c>
    </row>
    <row r="30" spans="1:13" x14ac:dyDescent="0.3">
      <c r="A30" s="28" t="s">
        <v>29</v>
      </c>
      <c r="B30" s="26">
        <v>4</v>
      </c>
      <c r="C30" s="31">
        <v>12</v>
      </c>
      <c r="D30" s="26">
        <v>0</v>
      </c>
      <c r="E30" s="21">
        <f>((B30+(D30*0.5))/(B30+C30+D30))</f>
        <v>0.25</v>
      </c>
      <c r="F30" s="32" t="s">
        <v>60</v>
      </c>
      <c r="G30" s="7">
        <f>32+23+26+20+0+18+10+5+13+6+13+9+13+19+20+6</f>
        <v>233</v>
      </c>
      <c r="H30" s="22">
        <f>G30/(B30+C30+D30)</f>
        <v>14.5625</v>
      </c>
      <c r="I30" s="7">
        <f>9+28+16+13+42+35+23+24+21+27+31+13+35+17+23+24</f>
        <v>381</v>
      </c>
      <c r="J30" s="22">
        <f>I30/(B30+C30+D30)</f>
        <v>23.8125</v>
      </c>
      <c r="K30" s="23">
        <f>H30-J30</f>
        <v>-9.25</v>
      </c>
      <c r="L30" s="32" t="s">
        <v>58</v>
      </c>
      <c r="M30" s="26" t="s">
        <v>47</v>
      </c>
    </row>
    <row r="32" spans="1:13" x14ac:dyDescent="0.3">
      <c r="A32" s="8" t="s">
        <v>17</v>
      </c>
      <c r="B32" s="8"/>
      <c r="C32" s="8"/>
      <c r="D32" s="8"/>
      <c r="E32" s="9"/>
      <c r="F32" s="9"/>
      <c r="G32" s="8"/>
      <c r="H32" s="9"/>
      <c r="I32" s="8"/>
      <c r="J32" s="9"/>
      <c r="K32" s="9"/>
      <c r="L32" s="9"/>
    </row>
    <row r="33" spans="1:13" ht="9.9499999999999993" customHeight="1" x14ac:dyDescent="0.3"/>
    <row r="34" spans="1:13" x14ac:dyDescent="0.3">
      <c r="A34" s="27" t="s">
        <v>18</v>
      </c>
      <c r="B34" s="8"/>
      <c r="C34" s="8"/>
      <c r="D34" s="8"/>
      <c r="E34" s="9"/>
      <c r="F34" s="9"/>
      <c r="G34" s="8"/>
      <c r="H34" s="9"/>
      <c r="I34" s="8"/>
      <c r="J34" s="9"/>
      <c r="K34" s="9"/>
      <c r="L34" s="9"/>
    </row>
    <row r="35" spans="1:13" ht="9.9499999999999993" customHeight="1" x14ac:dyDescent="0.3"/>
    <row r="36" spans="1:13" x14ac:dyDescent="0.3">
      <c r="A36" s="15" t="s">
        <v>2</v>
      </c>
      <c r="B36" s="15"/>
      <c r="C36" s="15"/>
      <c r="D36" s="15"/>
      <c r="E36" s="16" t="s">
        <v>6</v>
      </c>
      <c r="F36" s="3" t="s">
        <v>7</v>
      </c>
      <c r="G36" s="15" t="s">
        <v>8</v>
      </c>
      <c r="H36" s="17" t="s">
        <v>9</v>
      </c>
      <c r="I36" s="15" t="s">
        <v>10</v>
      </c>
      <c r="J36" s="17" t="s">
        <v>11</v>
      </c>
      <c r="K36" s="18" t="s">
        <v>12</v>
      </c>
      <c r="L36" s="3" t="s">
        <v>13</v>
      </c>
    </row>
    <row r="37" spans="1:13" ht="9.9499999999999993" customHeight="1" x14ac:dyDescent="0.3">
      <c r="A37" s="15"/>
      <c r="B37" s="15"/>
      <c r="C37" s="15"/>
      <c r="D37" s="15"/>
      <c r="E37" s="16"/>
      <c r="G37" s="15"/>
      <c r="H37" s="17"/>
      <c r="I37" s="15"/>
      <c r="J37" s="17"/>
      <c r="K37" s="18"/>
    </row>
    <row r="38" spans="1:13" x14ac:dyDescent="0.3">
      <c r="A38" s="33" t="s">
        <v>39</v>
      </c>
      <c r="B38" s="34">
        <v>13</v>
      </c>
      <c r="C38" s="35">
        <v>3</v>
      </c>
      <c r="D38" s="34">
        <v>0</v>
      </c>
      <c r="E38" s="36">
        <f>((B38+(D38*0.5))/(B38+C38+D38))</f>
        <v>0.8125</v>
      </c>
      <c r="F38" s="37" t="s">
        <v>14</v>
      </c>
      <c r="G38" s="38">
        <f>24+21+27+39+40+33+31+33+17+44+27+24+27+11+34+32</f>
        <v>464</v>
      </c>
      <c r="H38" s="39">
        <f>G38/(B38+C38+D38)</f>
        <v>29</v>
      </c>
      <c r="I38" s="38">
        <f>10+14+24+14+30+6+0+9+24+24+16+20+30+25+3+11</f>
        <v>260</v>
      </c>
      <c r="J38" s="39">
        <f>I38/(B38+C38+D38)</f>
        <v>16.25</v>
      </c>
      <c r="K38" s="40">
        <f>H38-J38</f>
        <v>12.75</v>
      </c>
      <c r="L38" s="37" t="s">
        <v>51</v>
      </c>
      <c r="M38" s="34" t="s">
        <v>67</v>
      </c>
    </row>
    <row r="39" spans="1:13" x14ac:dyDescent="0.3">
      <c r="A39" s="28" t="s">
        <v>23</v>
      </c>
      <c r="B39" s="26">
        <v>9</v>
      </c>
      <c r="C39" s="31">
        <v>7</v>
      </c>
      <c r="D39" s="26">
        <v>0</v>
      </c>
      <c r="E39" s="21">
        <f>((B39+(D39*0.5))/(B39+C39+D39))</f>
        <v>0.5625</v>
      </c>
      <c r="F39" s="32" t="s">
        <v>54</v>
      </c>
      <c r="G39" s="7">
        <f>21+10+26+10+30+31+17+30+24+34+20+41+9+25+30+14</f>
        <v>372</v>
      </c>
      <c r="H39" s="22">
        <f>G39/(B39+C39+D39)</f>
        <v>23.25</v>
      </c>
      <c r="I39" s="7">
        <f>10+13+15+17+7+10+20+27+44+31+25+31+16+11+8+18</f>
        <v>303</v>
      </c>
      <c r="J39" s="22">
        <f>I39/(B39+C39+D39)</f>
        <v>18.9375</v>
      </c>
      <c r="K39" s="23">
        <f>H39-J39</f>
        <v>4.3125</v>
      </c>
      <c r="L39" s="32" t="s">
        <v>58</v>
      </c>
      <c r="M39" s="26" t="s">
        <v>47</v>
      </c>
    </row>
    <row r="40" spans="1:13" x14ac:dyDescent="0.3">
      <c r="A40" s="28" t="s">
        <v>42</v>
      </c>
      <c r="B40" s="26">
        <v>8</v>
      </c>
      <c r="C40" s="31">
        <v>8</v>
      </c>
      <c r="D40" s="26">
        <v>0</v>
      </c>
      <c r="E40" s="21">
        <f>((B40+(D40*0.5))/(B40+C40+D40))</f>
        <v>0.5</v>
      </c>
      <c r="F40" s="32" t="s">
        <v>48</v>
      </c>
      <c r="G40" s="7">
        <f>19+23+14+14+30+27+3+20+23+16+26+25+24+30+8+13</f>
        <v>315</v>
      </c>
      <c r="H40" s="22">
        <f>G40/(B40+C40+D40)</f>
        <v>19.6875</v>
      </c>
      <c r="I40" s="7">
        <f>13+29+23+42+21+19+20+23+13+27+13+20+31+27+30+7</f>
        <v>358</v>
      </c>
      <c r="J40" s="22">
        <f>I40/(B40+C40+D40)</f>
        <v>22.375</v>
      </c>
      <c r="K40" s="23">
        <f>H40-J40</f>
        <v>-2.6875</v>
      </c>
      <c r="L40" s="32" t="s">
        <v>51</v>
      </c>
      <c r="M40" s="26" t="s">
        <v>47</v>
      </c>
    </row>
    <row r="41" spans="1:13" x14ac:dyDescent="0.3">
      <c r="A41" s="28" t="s">
        <v>27</v>
      </c>
      <c r="B41" s="26">
        <v>7</v>
      </c>
      <c r="C41" s="31">
        <v>9</v>
      </c>
      <c r="D41" s="26">
        <v>0</v>
      </c>
      <c r="E41" s="21">
        <f>((B41+(D41*0.5))/(B41+C41+D41))</f>
        <v>0.4375</v>
      </c>
      <c r="F41" s="32" t="s">
        <v>49</v>
      </c>
      <c r="G41" s="7">
        <f>28+30+13+38+18+21+24+26+20+13+31+20+21+3+7+18</f>
        <v>331</v>
      </c>
      <c r="H41" s="22">
        <f>G41/(B41+C41+D41)</f>
        <v>20.6875</v>
      </c>
      <c r="I41" s="7">
        <f>24+0+23+28+12+10+28+20+24+26+41+23+24+34+13+14</f>
        <v>344</v>
      </c>
      <c r="J41" s="22">
        <f>I41/(B41+C41+D41)</f>
        <v>21.5</v>
      </c>
      <c r="K41" s="23">
        <f>H41-J41</f>
        <v>-0.8125</v>
      </c>
      <c r="L41" s="32" t="s">
        <v>57</v>
      </c>
      <c r="M41" s="26" t="s">
        <v>47</v>
      </c>
    </row>
    <row r="42" spans="1:13" ht="9.9499999999999993" customHeight="1" x14ac:dyDescent="0.3">
      <c r="A42" s="29"/>
      <c r="H42" s="5"/>
      <c r="J42" s="5"/>
    </row>
    <row r="43" spans="1:13" x14ac:dyDescent="0.3">
      <c r="A43" s="27" t="s">
        <v>19</v>
      </c>
      <c r="B43" s="8"/>
      <c r="C43" s="8"/>
      <c r="D43" s="8"/>
      <c r="E43" s="9"/>
      <c r="F43" s="9"/>
      <c r="G43" s="8"/>
      <c r="H43" s="9"/>
      <c r="I43" s="8"/>
      <c r="J43" s="9"/>
      <c r="K43" s="9"/>
      <c r="L43" s="9"/>
    </row>
    <row r="44" spans="1:13" ht="9.9499999999999993" customHeight="1" x14ac:dyDescent="0.3">
      <c r="H44" s="5"/>
      <c r="J44" s="5"/>
    </row>
    <row r="45" spans="1:13" x14ac:dyDescent="0.3">
      <c r="A45" s="15" t="s">
        <v>2</v>
      </c>
      <c r="B45" s="15"/>
      <c r="C45" s="15"/>
      <c r="D45" s="15"/>
      <c r="E45" s="16" t="s">
        <v>6</v>
      </c>
      <c r="F45" s="3" t="s">
        <v>7</v>
      </c>
      <c r="G45" s="15" t="s">
        <v>8</v>
      </c>
      <c r="H45" s="18" t="s">
        <v>9</v>
      </c>
      <c r="I45" s="15" t="s">
        <v>10</v>
      </c>
      <c r="J45" s="18" t="s">
        <v>11</v>
      </c>
      <c r="K45" s="18" t="s">
        <v>12</v>
      </c>
      <c r="L45" s="3" t="s">
        <v>13</v>
      </c>
    </row>
    <row r="46" spans="1:13" ht="9.75" customHeight="1" x14ac:dyDescent="0.3">
      <c r="A46" s="15"/>
      <c r="B46" s="15"/>
      <c r="C46" s="15"/>
      <c r="D46" s="15"/>
      <c r="E46" s="16"/>
      <c r="G46" s="15"/>
      <c r="H46" s="18"/>
      <c r="I46" s="15"/>
      <c r="J46" s="18"/>
      <c r="K46" s="18"/>
    </row>
    <row r="47" spans="1:13" x14ac:dyDescent="0.3">
      <c r="A47" s="33" t="s">
        <v>34</v>
      </c>
      <c r="B47" s="34">
        <v>14</v>
      </c>
      <c r="C47" s="35">
        <v>2</v>
      </c>
      <c r="D47" s="34">
        <v>0</v>
      </c>
      <c r="E47" s="36">
        <f>((B47+(D47*0.5))/(B47+C47+D47))</f>
        <v>0.875</v>
      </c>
      <c r="F47" s="37" t="s">
        <v>14</v>
      </c>
      <c r="G47" s="38">
        <f>14+29+17+23+31+24+31+31+17+28+28+21+20+24+31+34</f>
        <v>403</v>
      </c>
      <c r="H47" s="39">
        <f>G47/(B47+C47+D47)</f>
        <v>25.1875</v>
      </c>
      <c r="I47" s="38">
        <f>21+23+10+13+15+23+14+10+14+21+20+10+23+19+20+17</f>
        <v>273</v>
      </c>
      <c r="J47" s="39">
        <f>I47/(B47+C47+D47)</f>
        <v>17.0625</v>
      </c>
      <c r="K47" s="40">
        <f>H47-J47</f>
        <v>8.125</v>
      </c>
      <c r="L47" s="37" t="s">
        <v>56</v>
      </c>
      <c r="M47" s="34" t="s">
        <v>66</v>
      </c>
    </row>
    <row r="48" spans="1:13" x14ac:dyDescent="0.3">
      <c r="A48" s="33" t="s">
        <v>32</v>
      </c>
      <c r="B48" s="34">
        <v>11</v>
      </c>
      <c r="C48" s="35">
        <v>5</v>
      </c>
      <c r="D48" s="34">
        <v>0</v>
      </c>
      <c r="E48" s="36">
        <f>((B48+(D48*0.5))/(B48+C48+D48))</f>
        <v>0.6875</v>
      </c>
      <c r="F48" s="37" t="s">
        <v>64</v>
      </c>
      <c r="G48" s="38">
        <f>23+13+14+24+16+23+31+29+14+24+23+33+31+30+31+17</f>
        <v>376</v>
      </c>
      <c r="H48" s="39">
        <f>G48/(B48+C48+D48)</f>
        <v>23.5</v>
      </c>
      <c r="I48" s="38">
        <f>14+10+39+28+14+24+28+17+6+22+10+3+7+17+45+34</f>
        <v>318</v>
      </c>
      <c r="J48" s="39">
        <f>I48/(B48+C48+D48)</f>
        <v>19.875</v>
      </c>
      <c r="K48" s="40">
        <f>H48-J48</f>
        <v>3.625</v>
      </c>
      <c r="L48" s="37" t="s">
        <v>51</v>
      </c>
      <c r="M48" s="34" t="s">
        <v>68</v>
      </c>
    </row>
    <row r="49" spans="1:13" x14ac:dyDescent="0.3">
      <c r="A49" s="28" t="s">
        <v>36</v>
      </c>
      <c r="B49" s="26">
        <v>7</v>
      </c>
      <c r="C49" s="31">
        <v>9</v>
      </c>
      <c r="D49" s="26">
        <v>0</v>
      </c>
      <c r="E49" s="21">
        <f>((B49+(D49*0.5))/(B49+C49+D49))</f>
        <v>0.4375</v>
      </c>
      <c r="F49" s="32" t="s">
        <v>60</v>
      </c>
      <c r="G49" s="7">
        <f>24+42+15+28+24+28+22+14+43+10+23+27+7+20+20+24</f>
        <v>371</v>
      </c>
      <c r="H49" s="22">
        <f>G49/(B49+C49+D49)</f>
        <v>23.1875</v>
      </c>
      <c r="I49" s="7">
        <f>27+14+26+38+13+31+24+31+13+31+17+13+31+10+31+6</f>
        <v>356</v>
      </c>
      <c r="J49" s="22">
        <f>I49/(B49+C49+D49)</f>
        <v>22.25</v>
      </c>
      <c r="K49" s="23">
        <f>H49-J49</f>
        <v>0.9375</v>
      </c>
      <c r="L49" s="32" t="s">
        <v>57</v>
      </c>
      <c r="M49" s="26" t="s">
        <v>47</v>
      </c>
    </row>
    <row r="50" spans="1:13" x14ac:dyDescent="0.3">
      <c r="A50" s="28" t="s">
        <v>45</v>
      </c>
      <c r="B50" s="26">
        <v>4</v>
      </c>
      <c r="C50" s="31">
        <v>12</v>
      </c>
      <c r="D50" s="26">
        <v>0</v>
      </c>
      <c r="E50" s="21">
        <f>((B50+(D50*0.5))/(B50+C50+D50))</f>
        <v>0.25</v>
      </c>
      <c r="F50" s="32" t="s">
        <v>65</v>
      </c>
      <c r="G50" s="7">
        <f>10+13+10+0+0+14+15+24+10+24+38+35+17+21+10+23</f>
        <v>264</v>
      </c>
      <c r="H50" s="22">
        <f>G50/(B50+C50+D50)</f>
        <v>16.5</v>
      </c>
      <c r="I50" s="7">
        <f>24+19+21+30+31+16+31+22+34+19+17+38+30+34+20+20</f>
        <v>406</v>
      </c>
      <c r="J50" s="22">
        <f>I50/(B50+C50+D50)</f>
        <v>25.375</v>
      </c>
      <c r="K50" s="23">
        <f>H50-J50</f>
        <v>-8.875</v>
      </c>
      <c r="L50" s="32" t="s">
        <v>50</v>
      </c>
      <c r="M50" s="26" t="s">
        <v>47</v>
      </c>
    </row>
    <row r="51" spans="1:13" ht="9.9499999999999993" customHeight="1" x14ac:dyDescent="0.3">
      <c r="A51" s="29"/>
      <c r="H51" s="5"/>
      <c r="J51" s="5"/>
    </row>
    <row r="52" spans="1:13" x14ac:dyDescent="0.3">
      <c r="A52" s="27" t="s">
        <v>21</v>
      </c>
      <c r="B52" s="8"/>
      <c r="C52" s="8"/>
      <c r="D52" s="8"/>
      <c r="E52" s="9"/>
      <c r="F52" s="9"/>
      <c r="G52" s="8"/>
      <c r="H52" s="9"/>
      <c r="I52" s="8"/>
      <c r="J52" s="9"/>
      <c r="K52" s="9"/>
      <c r="L52" s="9"/>
    </row>
    <row r="53" spans="1:13" ht="9.9499999999999993" customHeight="1" x14ac:dyDescent="0.3">
      <c r="H53" s="5"/>
      <c r="J53" s="5"/>
    </row>
    <row r="54" spans="1:13" x14ac:dyDescent="0.3">
      <c r="A54" s="15" t="s">
        <v>2</v>
      </c>
      <c r="B54" s="15"/>
      <c r="C54" s="15"/>
      <c r="D54" s="15"/>
      <c r="E54" s="16" t="s">
        <v>6</v>
      </c>
      <c r="F54" s="3" t="s">
        <v>7</v>
      </c>
      <c r="G54" s="15" t="s">
        <v>8</v>
      </c>
      <c r="H54" s="18" t="s">
        <v>9</v>
      </c>
      <c r="I54" s="15" t="s">
        <v>10</v>
      </c>
      <c r="J54" s="18" t="s">
        <v>11</v>
      </c>
      <c r="K54" s="18" t="s">
        <v>12</v>
      </c>
      <c r="L54" s="3" t="s">
        <v>13</v>
      </c>
    </row>
    <row r="55" spans="1:13" ht="9.9499999999999993" customHeight="1" x14ac:dyDescent="0.3">
      <c r="A55" s="15"/>
      <c r="B55" s="15"/>
      <c r="C55" s="15"/>
      <c r="D55" s="15"/>
      <c r="E55" s="16"/>
      <c r="G55" s="15"/>
      <c r="H55" s="18"/>
      <c r="I55" s="15"/>
      <c r="J55" s="18"/>
      <c r="K55" s="18"/>
    </row>
    <row r="56" spans="1:13" x14ac:dyDescent="0.3">
      <c r="A56" s="33" t="s">
        <v>28</v>
      </c>
      <c r="B56" s="34">
        <v>9</v>
      </c>
      <c r="C56" s="35">
        <v>7</v>
      </c>
      <c r="D56" s="34">
        <v>0</v>
      </c>
      <c r="E56" s="36">
        <f>((B56+(D56*0.5))/(B56+C56+D56))</f>
        <v>0.5625</v>
      </c>
      <c r="F56" s="37" t="s">
        <v>14</v>
      </c>
      <c r="G56" s="38">
        <f>45+31+28+38+19+6+27+28+22+38+31+21+20+31+20+14</f>
        <v>419</v>
      </c>
      <c r="H56" s="39">
        <f>G56/(B56+C56+D56)</f>
        <v>26.1875</v>
      </c>
      <c r="I56" s="38">
        <f>9+16+14+13+27+33+30+24+24+35+10+28+27+17+17+33</f>
        <v>357</v>
      </c>
      <c r="J56" s="39">
        <f>I56/(B56+C56+D56)</f>
        <v>22.3125</v>
      </c>
      <c r="K56" s="40">
        <f>H56-J56</f>
        <v>3.875</v>
      </c>
      <c r="L56" s="37" t="s">
        <v>56</v>
      </c>
      <c r="M56" s="34" t="s">
        <v>69</v>
      </c>
    </row>
    <row r="57" spans="1:13" x14ac:dyDescent="0.3">
      <c r="A57" s="28" t="s">
        <v>24</v>
      </c>
      <c r="B57" s="26">
        <v>6</v>
      </c>
      <c r="C57" s="31">
        <v>10</v>
      </c>
      <c r="D57" s="26">
        <v>0</v>
      </c>
      <c r="E57" s="21">
        <f>((B57+(D57*0.5))/(B57+C57+D57))</f>
        <v>0.375</v>
      </c>
      <c r="F57" s="32" t="s">
        <v>64</v>
      </c>
      <c r="G57" s="7">
        <f>14+26+28+27+20+20+10+9+17+3+13+10+9+13+33+26</f>
        <v>278</v>
      </c>
      <c r="H57" s="22">
        <f>G57/(B57+C57+D57)</f>
        <v>17.375</v>
      </c>
      <c r="I57" s="7">
        <f>28+21+21+14+3+17+21+33+38+33+27+21+18+26+14+30</f>
        <v>365</v>
      </c>
      <c r="J57" s="22">
        <f>I57/(B57+C57+D57)</f>
        <v>22.8125</v>
      </c>
      <c r="K57" s="23">
        <f>H57-J57</f>
        <v>-5.4375</v>
      </c>
      <c r="L57" s="32" t="s">
        <v>58</v>
      </c>
      <c r="M57" s="26" t="s">
        <v>47</v>
      </c>
    </row>
    <row r="58" spans="1:13" x14ac:dyDescent="0.3">
      <c r="A58" s="28" t="s">
        <v>46</v>
      </c>
      <c r="B58" s="26">
        <v>4</v>
      </c>
      <c r="C58" s="31">
        <v>12</v>
      </c>
      <c r="D58" s="26">
        <v>0</v>
      </c>
      <c r="E58" s="21">
        <f>((B58+(D58*0.5))/(B58+C58+D58))</f>
        <v>0.25</v>
      </c>
      <c r="F58" s="32" t="s">
        <v>48</v>
      </c>
      <c r="G58" s="7">
        <f>13+17+21+13+7+30+23+20+34+6+13+14+34+13+17+30</f>
        <v>305</v>
      </c>
      <c r="H58" s="22">
        <f>G58/(B58+C58+D58)</f>
        <v>19.0625</v>
      </c>
      <c r="I58" s="7">
        <f>38+23+26+20+30+40+20+26+10+14+43+17+7+34+20+26</f>
        <v>394</v>
      </c>
      <c r="J58" s="22">
        <f>I58/(B58+C58+D58)</f>
        <v>24.625</v>
      </c>
      <c r="K58" s="23">
        <f>H58-J58</f>
        <v>-5.5625</v>
      </c>
      <c r="L58" s="32" t="s">
        <v>50</v>
      </c>
      <c r="M58" s="26" t="s">
        <v>47</v>
      </c>
    </row>
    <row r="59" spans="1:13" x14ac:dyDescent="0.3">
      <c r="A59" s="28" t="s">
        <v>38</v>
      </c>
      <c r="B59" s="26">
        <v>3</v>
      </c>
      <c r="C59" s="31">
        <v>13</v>
      </c>
      <c r="D59" s="26">
        <v>0</v>
      </c>
      <c r="E59" s="21">
        <f>((B59+(D59*0.5))/(B59+C59+D59))</f>
        <v>0.1875</v>
      </c>
      <c r="F59" s="32" t="s">
        <v>49</v>
      </c>
      <c r="G59" s="7">
        <f>16+23+21+20+21+10+0+12+19+10+17+20+7+17+17+26</f>
        <v>256</v>
      </c>
      <c r="H59" s="22">
        <f>G59/(B59+C59+D59)</f>
        <v>16</v>
      </c>
      <c r="I59" s="7">
        <f>31+17+28+17+30+31+31+18+24+23+23+28+34+27+31+13</f>
        <v>406</v>
      </c>
      <c r="J59" s="22">
        <f>I59/(B59+C59+D59)</f>
        <v>25.375</v>
      </c>
      <c r="K59" s="23">
        <f>H59-J59</f>
        <v>-9.375</v>
      </c>
      <c r="L59" s="32" t="s">
        <v>50</v>
      </c>
      <c r="M59" s="26" t="s">
        <v>47</v>
      </c>
    </row>
    <row r="61" spans="1:13" x14ac:dyDescent="0.3">
      <c r="A61" s="1" t="s">
        <v>20</v>
      </c>
      <c r="B61" s="24">
        <f>SUM(B9:B12,B18:B21,B27:B30,B38:B41,B47:B50,B56:B59)</f>
        <v>192</v>
      </c>
      <c r="C61" s="24">
        <f>SUM(C9:C12,C18:C21,C27:C30,C38:C41,C47:C50,C56:C59)</f>
        <v>192</v>
      </c>
      <c r="D61" s="24">
        <f>SUM(D9:D12,D18:D21,D27:D30,D38:D41,D47:D50,D56:D59)</f>
        <v>0</v>
      </c>
      <c r="E61" s="2">
        <f>((B61+(D61*0.5))/(B61+C61+D61))</f>
        <v>0.5</v>
      </c>
      <c r="F61" s="3" t="s">
        <v>14</v>
      </c>
      <c r="G61" s="25">
        <f>SUM(G9:G12,G18:G21,G27:G30,G38:G41,G47:G50,G56:G59)</f>
        <v>8256</v>
      </c>
      <c r="H61" s="4">
        <f>G61/(B61+C61+D61)</f>
        <v>21.5</v>
      </c>
      <c r="I61" s="25">
        <f>SUM(I9:I12,I18:I21,I27:I30,I38:I41,I47:I50,I56:I59)</f>
        <v>8256</v>
      </c>
      <c r="J61" s="4">
        <f>I61/(B61+C61+D61)</f>
        <v>21.5</v>
      </c>
      <c r="K61" s="5">
        <f>H61-J61</f>
        <v>0</v>
      </c>
      <c r="L61" s="6" t="s">
        <v>14</v>
      </c>
    </row>
    <row r="63" spans="1:13" s="19" customFormat="1" x14ac:dyDescent="0.3"/>
    <row r="64" spans="1:13" x14ac:dyDescent="0.3">
      <c r="A64" s="28"/>
      <c r="B64" s="26"/>
      <c r="C64" s="31"/>
      <c r="D64" s="26"/>
      <c r="E64" s="21"/>
      <c r="F64" s="32"/>
      <c r="G64" s="7"/>
      <c r="H64" s="22"/>
      <c r="I64" s="7"/>
      <c r="J64" s="22"/>
      <c r="K64" s="23"/>
      <c r="L64" s="32"/>
      <c r="M64" s="26"/>
    </row>
    <row r="65" spans="1:13" x14ac:dyDescent="0.3">
      <c r="A65" s="28"/>
      <c r="B65" s="26"/>
      <c r="C65" s="31"/>
      <c r="D65" s="26"/>
      <c r="E65" s="21"/>
      <c r="F65" s="32"/>
      <c r="G65" s="7"/>
      <c r="H65" s="22"/>
      <c r="I65" s="7"/>
      <c r="J65" s="22"/>
      <c r="K65" s="23"/>
      <c r="L65" s="32"/>
      <c r="M65" s="26"/>
    </row>
  </sheetData>
  <sortState ref="A38:M41">
    <sortCondition descending="1" ref="E38:E41"/>
  </sortState>
  <phoneticPr fontId="0" type="noConversion"/>
  <printOptions horizontalCentered="1" verticalCentered="1" gridLines="1"/>
  <pageMargins left="0" right="0" top="0" bottom="0" header="0" footer="0"/>
  <pageSetup scale="67" orientation="landscape" r:id="rId1"/>
  <webPublishItems count="1">
    <webPublishItem id="15145" divId="2011_SF_Standings_15145" sourceType="sheet" destinationFile="C:\Office Documents\OOPS\Spring Fever\2010\2011_SF_Standings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SF Standings</vt:lpstr>
      <vt:lpstr>'2021 SF Standings'!ASTAB</vt:lpstr>
    </vt:vector>
  </TitlesOfParts>
  <Company>Brehm Communications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keywords>Standings</cp:keywords>
  <cp:lastModifiedBy>Paul</cp:lastModifiedBy>
  <cp:lastPrinted>2021-06-28T13:13:08Z</cp:lastPrinted>
  <dcterms:created xsi:type="dcterms:W3CDTF">2002-10-11T16:52:40Z</dcterms:created>
  <dcterms:modified xsi:type="dcterms:W3CDTF">2021-06-28T13:14:51Z</dcterms:modified>
</cp:coreProperties>
</file>